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395"/>
  </bookViews>
  <sheets>
    <sheet name="2021 (2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 localSheetId="0">#REF!</definedName>
    <definedName name="a">#REF!</definedName>
    <definedName name="CARGO">[1]D!$B$39:$B$43</definedName>
    <definedName name="CONTRATACION" localSheetId="0">#REF!</definedName>
    <definedName name="CONTRATACION">#REF!</definedName>
    <definedName name="CONTRATISTAS" localSheetId="0">[2]Listado!#REF!</definedName>
    <definedName name="CONTRATISTAS">[2]Listado!#REF!</definedName>
    <definedName name="CUMPLE" localSheetId="0">#REF!</definedName>
    <definedName name="CUMPLE">#REF!</definedName>
    <definedName name="D" localSheetId="0">[1]D!#REF!</definedName>
    <definedName name="D">[1]D!#REF!</definedName>
    <definedName name="DEP_ENT_EJEC">[3]Catalogos!$J$2:$J$11</definedName>
    <definedName name="EJE" localSheetId="0">#REF!</definedName>
    <definedName name="EJE">#REF!</definedName>
    <definedName name="EJES" localSheetId="0">[1]D!#REF!</definedName>
    <definedName name="EJES">[1]D!#REF!</definedName>
    <definedName name="ELABORO">[1]D!$A$39:$A$43</definedName>
    <definedName name="EyO">[4]Dictamen!$B$16:$C$1012</definedName>
    <definedName name="fdasd" localSheetId="0">#REF!</definedName>
    <definedName name="fdasd">#REF!</definedName>
    <definedName name="FEL">'[5]11.4 Cedula de visita'!$M$7:$M$9</definedName>
    <definedName name="Fundamento" localSheetId="0">'[6]2.2 Salud'!#REF!</definedName>
    <definedName name="Fundamento">'[6]2.2 Salud'!#REF!</definedName>
    <definedName name="ivo" localSheetId="0">#REF!</definedName>
    <definedName name="ivo">#REF!</definedName>
    <definedName name="m" localSheetId="0">#REF!</definedName>
    <definedName name="m">#REF!</definedName>
    <definedName name="Matriz_transparencia_FOPADEM" localSheetId="0">#REF!</definedName>
    <definedName name="Matriz_transparencia_FOPADEM">#REF!</definedName>
    <definedName name="OK">'[5]11.2.2'!$V$45:$V$47</definedName>
    <definedName name="OPINION">[4]Dictamen!$B$6:$C$11</definedName>
    <definedName name="P.FAC_M27" localSheetId="0">[7]R.DOC!#REF!</definedName>
    <definedName name="P.FAC_M27">[7]R.DOC!#REF!</definedName>
    <definedName name="part20" localSheetId="0">#REF!</definedName>
    <definedName name="part20">#REF!</definedName>
    <definedName name="print" localSheetId="0">#REF!</definedName>
    <definedName name="print">#REF!</definedName>
    <definedName name="PROCEDIMIENTO" localSheetId="0">[1]R.DOC!#REF!</definedName>
    <definedName name="PROCEDIMIENTO">[1]R.DOC!#REF!</definedName>
    <definedName name="proveedores_obra1_prueba" localSheetId="0">#REF!</definedName>
    <definedName name="proveedores_obra1_prueba">#REF!</definedName>
    <definedName name="QW" localSheetId="0">#REF!</definedName>
    <definedName name="QW">#REF!</definedName>
    <definedName name="REFERENCIA" localSheetId="0">[2]Listado!#REF!</definedName>
    <definedName name="REFERENCIA">[2]Listado!#REF!</definedName>
    <definedName name="reg" localSheetId="0">#REF!</definedName>
    <definedName name="reg">#REF!</definedName>
    <definedName name="RFC_CON_HOMOCLAVE" localSheetId="0">#REF!</definedName>
    <definedName name="RFC_CON_HOMOCLAVE">#REF!</definedName>
    <definedName name="S" localSheetId="0">#REF!</definedName>
    <definedName name="S">#REF!</definedName>
    <definedName name="sabe" localSheetId="0">#REF!</definedName>
    <definedName name="sabe">#REF!</definedName>
    <definedName name="SDD" localSheetId="0">#REF!</definedName>
    <definedName name="SDD">#REF!</definedName>
    <definedName name="Selección" localSheetId="0">#REF!</definedName>
    <definedName name="Selección">#REF!</definedName>
    <definedName name="Solventa" localSheetId="0">'[6]2.2 Salud'!#REF!</definedName>
    <definedName name="Solventa">'[6]2.2 Salud'!#REF!</definedName>
    <definedName name="TIPO">'[5]Datos Generales'!$AT$20:$AT$22</definedName>
    <definedName name="tit" localSheetId="0">#REF!</definedName>
    <definedName name="tit">#REF!</definedName>
    <definedName name="UNIDAD">'[8]Contrato 1'!$E$76:$E$80</definedName>
    <definedName name="w" localSheetId="0">#REF!</definedName>
    <definedName name="w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1" l="1"/>
  <c r="N25" i="1"/>
  <c r="N33" i="1" l="1"/>
  <c r="M33" i="1"/>
  <c r="L33" i="1"/>
  <c r="K33" i="1"/>
  <c r="J33" i="1"/>
  <c r="I33" i="1"/>
  <c r="H33" i="1"/>
  <c r="G33" i="1"/>
  <c r="F33" i="1"/>
  <c r="E33" i="1"/>
  <c r="D33" i="1"/>
  <c r="C33" i="1"/>
  <c r="O32" i="1"/>
  <c r="O31" i="1"/>
  <c r="O33" i="1" s="1"/>
  <c r="M25" i="1"/>
  <c r="L25" i="1"/>
  <c r="K25" i="1"/>
  <c r="J25" i="1"/>
  <c r="I25" i="1"/>
  <c r="H25" i="1"/>
  <c r="G25" i="1"/>
  <c r="F25" i="1"/>
  <c r="E25" i="1"/>
  <c r="O25" i="1" s="1"/>
  <c r="O24" i="1"/>
  <c r="N23" i="1"/>
  <c r="M23" i="1"/>
  <c r="L23" i="1"/>
  <c r="J23" i="1"/>
  <c r="I23" i="1"/>
  <c r="G23" i="1"/>
  <c r="F23" i="1"/>
  <c r="E23" i="1"/>
  <c r="D23" i="1"/>
  <c r="C23" i="1"/>
  <c r="O23" i="1" s="1"/>
  <c r="N22" i="1"/>
  <c r="M22" i="1"/>
  <c r="J22" i="1"/>
  <c r="I22" i="1"/>
  <c r="G22" i="1"/>
  <c r="F22" i="1"/>
  <c r="E22" i="1"/>
  <c r="O22" i="1" s="1"/>
  <c r="N21" i="1"/>
  <c r="M21" i="1"/>
  <c r="L21" i="1"/>
  <c r="K21" i="1"/>
  <c r="J21" i="1"/>
  <c r="I21" i="1"/>
  <c r="H21" i="1"/>
  <c r="G21" i="1"/>
  <c r="F21" i="1"/>
  <c r="E21" i="1"/>
  <c r="O21" i="1" s="1"/>
  <c r="N20" i="1"/>
  <c r="M20" i="1"/>
  <c r="L20" i="1"/>
  <c r="K20" i="1"/>
  <c r="J20" i="1"/>
  <c r="I20" i="1"/>
  <c r="G20" i="1"/>
  <c r="F20" i="1"/>
  <c r="O20" i="1" s="1"/>
  <c r="E20" i="1"/>
  <c r="N19" i="1"/>
  <c r="M19" i="1"/>
  <c r="L19" i="1"/>
  <c r="K19" i="1"/>
  <c r="J19" i="1"/>
  <c r="I19" i="1"/>
  <c r="H19" i="1"/>
  <c r="G19" i="1"/>
  <c r="F19" i="1"/>
  <c r="E19" i="1"/>
  <c r="O19" i="1" s="1"/>
  <c r="O18" i="1"/>
  <c r="O17" i="1"/>
  <c r="J17" i="1"/>
  <c r="N16" i="1"/>
  <c r="L16" i="1"/>
  <c r="O16" i="1" s="1"/>
  <c r="D16" i="1"/>
  <c r="N15" i="1"/>
  <c r="M15" i="1"/>
  <c r="L15" i="1"/>
  <c r="K15" i="1"/>
  <c r="J15" i="1"/>
  <c r="I15" i="1"/>
  <c r="H15" i="1"/>
  <c r="G15" i="1"/>
  <c r="F15" i="1"/>
  <c r="E15" i="1"/>
  <c r="O15" i="1" s="1"/>
  <c r="C15" i="1"/>
  <c r="N14" i="1"/>
  <c r="L14" i="1"/>
  <c r="O14" i="1" s="1"/>
  <c r="D14" i="1"/>
  <c r="N13" i="1"/>
  <c r="M13" i="1"/>
  <c r="L13" i="1"/>
  <c r="K13" i="1"/>
  <c r="J13" i="1"/>
  <c r="I13" i="1"/>
  <c r="H13" i="1"/>
  <c r="G13" i="1"/>
  <c r="F13" i="1"/>
  <c r="E13" i="1"/>
  <c r="D13" i="1"/>
  <c r="D26" i="1" s="1"/>
  <c r="D38" i="1" s="1"/>
  <c r="C13" i="1"/>
  <c r="C26" i="1" s="1"/>
  <c r="C38" i="1" s="1"/>
  <c r="N12" i="1"/>
  <c r="N26" i="1" s="1"/>
  <c r="N38" i="1" s="1"/>
  <c r="M12" i="1"/>
  <c r="M26" i="1" s="1"/>
  <c r="M38" i="1" s="1"/>
  <c r="L12" i="1"/>
  <c r="L26" i="1" s="1"/>
  <c r="L38" i="1" s="1"/>
  <c r="K12" i="1"/>
  <c r="K26" i="1" s="1"/>
  <c r="K38" i="1" s="1"/>
  <c r="J12" i="1"/>
  <c r="J26" i="1" s="1"/>
  <c r="J38" i="1" s="1"/>
  <c r="I12" i="1"/>
  <c r="I26" i="1" s="1"/>
  <c r="I38" i="1" s="1"/>
  <c r="H12" i="1"/>
  <c r="H26" i="1" s="1"/>
  <c r="H38" i="1" s="1"/>
  <c r="G12" i="1"/>
  <c r="G26" i="1" s="1"/>
  <c r="G38" i="1" s="1"/>
  <c r="F12" i="1"/>
  <c r="F26" i="1" s="1"/>
  <c r="F38" i="1" s="1"/>
  <c r="E12" i="1"/>
  <c r="E26" i="1" s="1"/>
  <c r="E38" i="1" s="1"/>
  <c r="O13" i="1" l="1"/>
  <c r="O12" i="1"/>
  <c r="O26" i="1" s="1"/>
  <c r="O38" i="1" s="1"/>
</calcChain>
</file>

<file path=xl/sharedStrings.xml><?xml version="1.0" encoding="utf-8"?>
<sst xmlns="http://schemas.openxmlformats.org/spreadsheetml/2006/main" count="63" uniqueCount="63">
  <si>
    <t xml:space="preserve">MUNICIPIO DE PEDRO ESCOBEDO QUERETARO </t>
  </si>
  <si>
    <t>INTEGRACIÓN DE LOS INGRESOS DE LAS PARTICIPACIONES Y APORTACIONES FEDERALES (RAMO 28, RAMO 33)
2021</t>
  </si>
  <si>
    <t>CUENTA CONTABLE</t>
  </si>
  <si>
    <t>CONCEPTO/ MES QUE SE RECIBE EL DINERO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</si>
  <si>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</si>
  <si>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</si>
  <si>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</si>
  <si>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</si>
  <si>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</si>
  <si>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</si>
  <si>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</si>
  <si>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</si>
  <si>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</si>
  <si>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</si>
  <si>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</si>
  <si>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</si>
  <si>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PARTICIPACIONES 2021</t>
  </si>
  <si>
    <t>SEGÚN OFICIO SECRETARÍA DE PLANEACIÓN Y FINANZAS DEL ESTADO</t>
  </si>
  <si>
    <t>PARTICIPACIONES DE ENERO</t>
  </si>
  <si>
    <t>PARTICIPACIONES DE FEBRERO</t>
  </si>
  <si>
    <t>PARTICIPACIONES DE MARZO</t>
  </si>
  <si>
    <t>PARTICIPACIONES DE ABRIL</t>
  </si>
  <si>
    <t>PARTICIPACIONES DE MAYO</t>
  </si>
  <si>
    <t>PARTICIPACIONES DE JUNIO</t>
  </si>
  <si>
    <t>PARTICIPACIONES DE JULIO</t>
  </si>
  <si>
    <t>PARTICIPACIONES DE AGOSTO</t>
  </si>
  <si>
    <t>PARTICIPACIONES DE SEPTIEMBRE</t>
  </si>
  <si>
    <t>PARTICIPACIONES DE OCTUBRE</t>
  </si>
  <si>
    <t>PARTICIPACIONES DE NOVIEMBRE</t>
  </si>
  <si>
    <t>PARTICIPACIONES DE DICEIEMBRE</t>
  </si>
  <si>
    <t>I N G R E S O S</t>
  </si>
  <si>
    <t>PARTICIPACIONES FEDERALES RAMO 28</t>
  </si>
  <si>
    <t>GASOLINAS Y DIESEL 70% Y 30 %</t>
  </si>
  <si>
    <t xml:space="preserve">FONDO GENERAL PARTICIPACIONES </t>
  </si>
  <si>
    <t>FEIF FONDO GENERAL</t>
  </si>
  <si>
    <t xml:space="preserve">FONDO DE FISCALIZACION Y RECAUDACION </t>
  </si>
  <si>
    <t xml:space="preserve">FEIF FONDO DE FISCALIZACION Y RECAUDACION </t>
  </si>
  <si>
    <t>FONDO DE FOMENTO MUNICIPAL</t>
  </si>
  <si>
    <t>FEIF FONDO MUNICIPAL</t>
  </si>
  <si>
    <t xml:space="preserve">FONDO DE COMPENSACION DEL ISAN </t>
  </si>
  <si>
    <t>IMPUESTO POR LA VENTA DE BIENES CUYA ENAJENACION….</t>
  </si>
  <si>
    <t>INCENTIVOS POR EL ISAN</t>
  </si>
  <si>
    <t xml:space="preserve">TENENCIA FEDERAL </t>
  </si>
  <si>
    <t>IEPS</t>
  </si>
  <si>
    <t>IMPUESTO SOBRE LA RENTA PARTICIPABLE</t>
  </si>
  <si>
    <t>ISR ENAJENACION BIENES INMUBLES</t>
  </si>
  <si>
    <t>TOTAL DE PARTICIPACIONES</t>
  </si>
  <si>
    <t>FONDO PARA LA INFRAESTRUCTURA SOCIAL MUNICIPAL</t>
  </si>
  <si>
    <t>FONDO DE APORTACION PARA EL FORTALECIMINETO DE LOS MUNICIPIOS</t>
  </si>
  <si>
    <t>TOTAL DE APORTACIONES</t>
  </si>
  <si>
    <t xml:space="preserve">TOTAL DE INGRESOS </t>
  </si>
  <si>
    <t>Elaboró:</t>
  </si>
  <si>
    <t>Autorizo:</t>
  </si>
  <si>
    <t>C.P. María Dolores Orta Trejo</t>
  </si>
  <si>
    <t>C.P. Leonardo Agustin Solis Vazquez</t>
  </si>
  <si>
    <t>Analista Contable</t>
  </si>
  <si>
    <t>Secretario de Tesoreria y Finanzas del Municipio de Pedro Escobedo</t>
  </si>
  <si>
    <t>PART COPROM NO DEVENGADO S.P 1000</t>
  </si>
  <si>
    <t>DISPONIBLE PARA COMPROMETER</t>
  </si>
  <si>
    <t>COMPROMETIDO NO DEVNEGADO S.P</t>
  </si>
  <si>
    <t>LEY MODIF 1501</t>
  </si>
  <si>
    <t>RECIBIDO</t>
  </si>
  <si>
    <t>NOTA: SE ENCUENTRA UNA DIFERENCIA EN APORTACIONES DE 2.62, DEBIDO A QUE PARA EL SISTEMA RFT SE PRESENTARON COMO INTERESES Y NO COMO APORTACION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</si>
</sst>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43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43" fontId="3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3" fontId="3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5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Continuous" vertical="center"/>
    </xf>
    <xf numFmtId="164" fontId="4" fillId="3" borderId="0" xfId="0" applyNumberFormat="1" applyFont="1" applyFill="1" applyAlignment="1">
      <alignment horizontal="centerContinuous" vertical="center"/>
    </xf>
    <xf numFmtId="0" fontId="4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164" fontId="3" fillId="3" borderId="0" xfId="0" applyNumberFormat="1" applyFont="1" applyFill="1" applyAlignment="1">
      <alignment vertical="center"/>
    </xf>
    <xf numFmtId="164" fontId="3" fillId="3" borderId="0" xfId="0" applyNumberFormat="1" applyFont="1" applyFill="1" applyAlignment="1">
      <alignment vertical="center" wrapText="1"/>
    </xf>
    <xf numFmtId="0" fontId="4" fillId="3" borderId="0" xfId="0" applyFont="1" applyFill="1" applyAlignment="1">
      <alignment vertical="center"/>
    </xf>
    <xf numFmtId="164" fontId="4" fillId="3" borderId="4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164" fontId="4" fillId="3" borderId="0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horizontal="right" vertical="center"/>
    </xf>
    <xf numFmtId="164" fontId="4" fillId="3" borderId="0" xfId="0" applyNumberFormat="1" applyFont="1" applyFill="1" applyAlignment="1">
      <alignment vertical="center"/>
    </xf>
    <xf numFmtId="0" fontId="6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vertical="center"/>
    </xf>
    <xf numFmtId="164" fontId="8" fillId="3" borderId="0" xfId="0" applyNumberFormat="1" applyFont="1" applyFill="1" applyAlignment="1">
      <alignment vertical="center"/>
    </xf>
    <xf numFmtId="164" fontId="9" fillId="3" borderId="0" xfId="0" applyNumberFormat="1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178594</xdr:colOff>
      <xdr:row>0</xdr:row>
      <xdr:rowOff>190500</xdr:rowOff>
    </xdr:from>
    <xdr:to>
      <xdr:col>0</xdr:col>
      <xdr:colOff>1178719</xdr:colOff>
      <xdr:row>3</xdr:row>
      <xdr:rowOff>416718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9D5910F9-2623-43BE-9027-E2CF67D6A1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594" y="190500"/>
          <a:ext cx="1000125" cy="1059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1/CP%202013/Baja%20California%20Sur/cedulas/Partida%20Veh&#237;cul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ira\Documentos%20c\Documents%20and%20Settings\vortega\Mis%20documentos\CAPCEQ\Planeacion\2007\Programa%20de%20Infraestructura%20Educativa\Mejores%20Espacios\LISTADO%20MEJORES%20ESPACIOS%20EDUCATIVOS%20v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/RESP/Mis%20documentos/CARGA%20FONDOS%20FEDERALES%20SFA%20PORTAL%20HACIENDA/al%20mes%20marzo%202011/fafef2010%201er%20trim2011/ExpExcelFEIEF_BAJA.xml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asf/AES/AEGF/Doctos/PARTICIPACIONES/Cedulas/Yeimily/ASF/CP%20ORDAZ/DICTAMEN/Dictamen%20Recursos%20Seguro%20PopularOK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ASP%20CESA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FO%20CP-2016\01-CUENCAME\Z-CED%20Fortam%20Cuenc\Auditor&#237;a_FASSA_2010\AUDITORIAS_2010\Quintana_Roo_2010\SESA\C&#233;dulas_de_Trabajo_Q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FO%20CP-2016\01-CUENCAME\Z-CED%20Fortam%20Cuenc\Cedula%20Adquisicione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erromero\Escritorio\JUZGADO%20PENAL%20DE%20ZACAT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"/>
      <sheetName val="P.FAC"/>
      <sheetName val="R.DOC"/>
      <sheetName val="R.FOT"/>
      <sheetName val="R.FOT (2)"/>
      <sheetName val="R.FOT (3)"/>
      <sheetName val="R.FOT (4)"/>
    </sheetNames>
    <sheetDataSet>
      <sheetData sheetId="0">
        <row r="39">
          <cell r="A39" t="str">
            <v>Ing. Arq. Eduardo R. Romero Jiménez</v>
          </cell>
          <cell r="B39" t="str">
            <v>Auditor Habilitado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Listado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acion-Importacion MSFU"/>
      <sheetName val="Catalogos"/>
    </sheetNames>
    <sheetDataSet>
      <sheetData sheetId="0"/>
      <sheetData sheetId="1">
        <row r="2">
          <cell r="J2" t="str">
            <v>COOPARTICIPACIÓN ESTATAL-MUNICIPAL</v>
          </cell>
        </row>
        <row r="3">
          <cell r="J3" t="str">
            <v>COOPARTICIPACIÓN FEDERAL-ESTATAL</v>
          </cell>
        </row>
        <row r="4">
          <cell r="J4" t="str">
            <v>COOPARTICIPACIÓN FEDERAL-ESTATAL-MUNICIPAL</v>
          </cell>
        </row>
        <row r="5">
          <cell r="J5" t="str">
            <v>COOPARTICIPACIÓN FEDERAL-MUNICIPAL</v>
          </cell>
        </row>
        <row r="6">
          <cell r="J6" t="str">
            <v>DEPENDENCIA ESTATAL</v>
          </cell>
        </row>
        <row r="7">
          <cell r="J7" t="str">
            <v>DEPENDENCIA FEDERAL</v>
          </cell>
        </row>
        <row r="8">
          <cell r="J8" t="str">
            <v>DEPENDENCIA MUNICIPAL</v>
          </cell>
        </row>
        <row r="9">
          <cell r="J9" t="str">
            <v>ENTIDAD ESTATAL</v>
          </cell>
        </row>
        <row r="10">
          <cell r="J10" t="str">
            <v>ENTIDAD FEDERAL</v>
          </cell>
        </row>
        <row r="11">
          <cell r="J11" t="str">
            <v>ENTIDAD MUNICIPAL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Guía de Auditoría FASP"/>
      <sheetName val="MUESTRA "/>
      <sheetName val="Procedimiento 11.1"/>
      <sheetName val="Procedimiento 11.1.1"/>
      <sheetName val="Procedimiento 11.2"/>
      <sheetName val="11.2.1"/>
      <sheetName val="11.2.2"/>
      <sheetName val=" ENTREGA TARDIA DE ESTIMACION"/>
      <sheetName val="ATRASO DEOBRA"/>
      <sheetName val="Procedimiento 11.3 O-1"/>
      <sheetName val="Procedimiento 11.4"/>
      <sheetName val="11.4 R Ftco 1"/>
      <sheetName val="11.4 Cedula de visita"/>
    </sheetNames>
    <sheetDataSet>
      <sheetData sheetId="0">
        <row r="1">
          <cell r="G1" t="str">
            <v>Auditoría Especial de Cumplimiento Financiero</v>
          </cell>
        </row>
        <row r="20">
          <cell r="AT20" t="str">
            <v>AD</v>
          </cell>
        </row>
        <row r="21">
          <cell r="AT21" t="str">
            <v>IR</v>
          </cell>
        </row>
        <row r="22">
          <cell r="AT22" t="str">
            <v>LP</v>
          </cell>
        </row>
      </sheetData>
      <sheetData sheetId="1" refreshError="1"/>
      <sheetData sheetId="2">
        <row r="24">
          <cell r="L24">
            <v>0</v>
          </cell>
        </row>
      </sheetData>
      <sheetData sheetId="3" refreshError="1"/>
      <sheetData sheetId="4">
        <row r="27">
          <cell r="I27">
            <v>1</v>
          </cell>
        </row>
      </sheetData>
      <sheetData sheetId="5" refreshError="1"/>
      <sheetData sheetId="6">
        <row r="14">
          <cell r="B14" t="str">
            <v>CEDULA ANALÍTICA DEL CONTENIDO DEL CONTRATO DE OBRA PÚBLICA</v>
          </cell>
        </row>
      </sheetData>
      <sheetData sheetId="7">
        <row r="36">
          <cell r="E36">
            <v>173</v>
          </cell>
        </row>
        <row r="45">
          <cell r="V45" t="str">
            <v>SI</v>
          </cell>
        </row>
        <row r="46">
          <cell r="V46" t="str">
            <v>NO</v>
          </cell>
        </row>
        <row r="47">
          <cell r="V47" t="str">
            <v>N/A</v>
          </cell>
        </row>
      </sheetData>
      <sheetData sheetId="8">
        <row r="17">
          <cell r="B17" t="str">
            <v>Cédula:  Subanalitica de retenciones y atraso de obra.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ecuaciones"/>
      <sheetName val="CLC"/>
      <sheetName val="23"/>
      <sheetName val="2.1"/>
      <sheetName val="2.2 Finanzas"/>
      <sheetName val="2.2 Salud"/>
      <sheetName val="Int SH "/>
      <sheetName val="Int SESA"/>
      <sheetName val="Traspasos"/>
      <sheetName val="3.3"/>
      <sheetName val="4.1 anualidad"/>
      <sheetName val="Sumreintegros"/>
      <sheetName val="Anareinteg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.FAC"/>
      <sheetName val="R.DOC"/>
      <sheetName val="PENA CONVENCIONAL"/>
      <sheetName val="VERIFICACIÓN FÍSICA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."/>
      <sheetName val="sumaria"/>
      <sheetName val="C1"/>
      <sheetName val="Estimacion1"/>
      <sheetName val="P. 11.2"/>
      <sheetName val="11.2.1"/>
      <sheetName val="11.2.2"/>
      <sheetName val="Contrato 1"/>
      <sheetName val="R Ftco 1"/>
      <sheetName val="Hoja1"/>
    </sheetNames>
    <sheetDataSet>
      <sheetData sheetId="0">
        <row r="1">
          <cell r="G1" t="str">
            <v>Auditoría Especial del Gasto Federalizado</v>
          </cell>
        </row>
      </sheetData>
      <sheetData sheetId="1">
        <row r="22">
          <cell r="E22" t="str">
            <v>CECSNSP-0PPA-002/2010</v>
          </cell>
        </row>
      </sheetData>
      <sheetData sheetId="2" refreshError="1"/>
      <sheetData sheetId="3">
        <row r="20">
          <cell r="D20">
            <v>7091683.1500000004</v>
          </cell>
        </row>
      </sheetData>
      <sheetData sheetId="4" refreshError="1"/>
      <sheetData sheetId="5" refreshError="1"/>
      <sheetData sheetId="6">
        <row r="43">
          <cell r="G43" t="str">
            <v>N/A</v>
          </cell>
        </row>
      </sheetData>
      <sheetData sheetId="7">
        <row r="17">
          <cell r="B17" t="str">
            <v xml:space="preserve">EJE:    ALINEACIÓN DE LAS CAPACIDADES DEL ESTADO MEXICANO CONTRA LA DELINCUENCIA </v>
          </cell>
        </row>
      </sheetData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tabSelected="1" zoomScale="80" zoomScaleNormal="80" workbookViewId="0">
      <selection activeCell="S7" sqref="S7"/>
    </sheetView>
  </sheetViews>
  <sheetFormatPr baseColWidth="10" defaultColWidth="11.42578125" defaultRowHeight="17.100000000000001" customHeight="1" x14ac:dyDescent="0.25"/>
  <cols>
    <col min="1" max="1" width="22.7109375" style="2" customWidth="1"/>
    <col min="2" max="2" width="68.28515625" style="2" bestFit="1" customWidth="1"/>
    <col min="3" max="3" width="19.7109375" style="3" hidden="1" customWidth="1"/>
    <col min="4" max="4" width="16.28515625" style="3" hidden="1" customWidth="1"/>
    <col min="5" max="10" width="19.7109375" style="3" hidden="1" customWidth="1"/>
    <col min="11" max="11" width="16.7109375" style="3" hidden="1" customWidth="1"/>
    <col min="12" max="13" width="19.7109375" style="3" customWidth="1"/>
    <col min="14" max="14" width="18.5703125" style="3" customWidth="1"/>
    <col min="15" max="15" width="30.85546875" style="3" customWidth="1"/>
    <col min="16" max="16" width="15.7109375" style="1" bestFit="1" customWidth="1"/>
    <col min="17" max="17" width="15.7109375" style="2" bestFit="1" customWidth="1"/>
    <col min="18" max="18" width="11.42578125" style="2"/>
    <col min="19" max="19" width="13.85546875" style="2" bestFit="1" customWidth="1"/>
    <col min="20" max="16384" width="11.42578125" style="2"/>
  </cols>
  <sheetData>
    <row r="1" spans="1:19" ht="32.2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9" ht="17.100000000000001" customHeight="1" x14ac:dyDescent="0.25">
      <c r="A2" s="19"/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9" ht="17.100000000000001" customHeight="1" x14ac:dyDescent="0.25">
      <c r="A3" s="19"/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9" ht="42.75" customHeight="1" x14ac:dyDescent="0.25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9" ht="17.100000000000001" customHeight="1" x14ac:dyDescent="0.25">
      <c r="A5" s="2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9" ht="17.100000000000001" customHeight="1" x14ac:dyDescent="0.25">
      <c r="A6" s="12" t="s">
        <v>2</v>
      </c>
      <c r="B6" s="13" t="s">
        <v>3</v>
      </c>
      <c r="C6" s="14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  <c r="K6" s="14" t="s">
        <v>12</v>
      </c>
      <c r="L6" s="14" t="s">
        <v>13</v>
      </c>
      <c r="M6" s="14" t="s">
        <v>14</v>
      </c>
      <c r="N6" s="14" t="s">
        <v>15</v>
      </c>
      <c r="O6" s="11" t="s">
        <v>16</v>
      </c>
    </row>
    <row r="7" spans="1:19" ht="17.100000000000001" customHeight="1" x14ac:dyDescent="0.25">
      <c r="A7" s="15"/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1"/>
    </row>
    <row r="8" spans="1:19" ht="45.75" customHeight="1" x14ac:dyDescent="0.25">
      <c r="A8" s="15"/>
      <c r="B8" s="16" t="s">
        <v>17</v>
      </c>
      <c r="C8" s="17" t="s">
        <v>18</v>
      </c>
      <c r="D8" s="17" t="s">
        <v>19</v>
      </c>
      <c r="E8" s="17" t="s">
        <v>20</v>
      </c>
      <c r="F8" s="17" t="s">
        <v>21</v>
      </c>
      <c r="G8" s="17" t="s">
        <v>22</v>
      </c>
      <c r="H8" s="17" t="s">
        <v>23</v>
      </c>
      <c r="I8" s="17" t="s">
        <v>24</v>
      </c>
      <c r="J8" s="17" t="s">
        <v>25</v>
      </c>
      <c r="K8" s="17" t="s">
        <v>26</v>
      </c>
      <c r="L8" s="17" t="s">
        <v>27</v>
      </c>
      <c r="M8" s="17" t="s">
        <v>28</v>
      </c>
      <c r="N8" s="17" t="s">
        <v>29</v>
      </c>
      <c r="O8" s="11"/>
    </row>
    <row r="9" spans="1:19" ht="17.100000000000001" customHeight="1" x14ac:dyDescent="0.25">
      <c r="A9" s="22"/>
      <c r="B9" s="22"/>
      <c r="C9" s="23"/>
      <c r="D9" s="23"/>
      <c r="E9" s="23"/>
      <c r="F9" s="24"/>
      <c r="G9" s="24"/>
      <c r="H9" s="24"/>
      <c r="I9" s="24"/>
      <c r="J9" s="23"/>
      <c r="K9" s="23"/>
      <c r="L9" s="23"/>
      <c r="M9" s="23"/>
      <c r="N9" s="23"/>
      <c r="O9" s="23"/>
    </row>
    <row r="10" spans="1:19" ht="17.100000000000001" customHeight="1" x14ac:dyDescent="0.25">
      <c r="A10" s="19" t="s">
        <v>30</v>
      </c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9" ht="12.75" x14ac:dyDescent="0.25">
      <c r="A11" s="25" t="s">
        <v>31</v>
      </c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9" ht="17.100000000000001" customHeight="1" x14ac:dyDescent="0.25">
      <c r="A12" s="23"/>
      <c r="B12" s="22" t="s">
        <v>32</v>
      </c>
      <c r="C12" s="23">
        <v>127330</v>
      </c>
      <c r="D12" s="23">
        <v>195700</v>
      </c>
      <c r="E12" s="23">
        <f>168552+30363</f>
        <v>198915</v>
      </c>
      <c r="F12" s="23">
        <f>121398+21869</f>
        <v>143267</v>
      </c>
      <c r="G12" s="23">
        <f>116557+20997</f>
        <v>137554</v>
      </c>
      <c r="H12" s="23">
        <f>130992+23597</f>
        <v>154589</v>
      </c>
      <c r="I12" s="23">
        <f>139448+25121</f>
        <v>164569</v>
      </c>
      <c r="J12" s="23">
        <f>134725+24270</f>
        <v>158995</v>
      </c>
      <c r="K12" s="23">
        <f>135795+30060</f>
        <v>165855</v>
      </c>
      <c r="L12" s="23">
        <f>99072+18301</f>
        <v>117373</v>
      </c>
      <c r="M12" s="23">
        <f>127144+23487</f>
        <v>150631</v>
      </c>
      <c r="N12" s="23">
        <f>151421+27972</f>
        <v>179393</v>
      </c>
      <c r="O12" s="23">
        <f>SUM(C12:N12)</f>
        <v>1894171</v>
      </c>
      <c r="S12" s="4"/>
    </row>
    <row r="13" spans="1:19" ht="17.100000000000001" customHeight="1" x14ac:dyDescent="0.25">
      <c r="A13" s="22"/>
      <c r="B13" s="22" t="s">
        <v>33</v>
      </c>
      <c r="C13" s="23">
        <f>3101885+2813721</f>
        <v>5915606</v>
      </c>
      <c r="D13" s="23">
        <f>2971958+5575306</f>
        <v>8547264</v>
      </c>
      <c r="E13" s="23">
        <f>1224218+4391970</f>
        <v>5616188</v>
      </c>
      <c r="F13" s="23">
        <f>7081540.53+1968584-19105.53</f>
        <v>9031019.0000000019</v>
      </c>
      <c r="G13" s="23">
        <f>4939527+1376845</f>
        <v>6316372</v>
      </c>
      <c r="H13" s="23">
        <f>6913602+1927099</f>
        <v>8840701</v>
      </c>
      <c r="I13" s="23">
        <f>4900078+1365848</f>
        <v>6265926</v>
      </c>
      <c r="J13" s="23">
        <f>4411420+1633339</f>
        <v>6044759</v>
      </c>
      <c r="K13" s="23">
        <f>4711634+1356620</f>
        <v>6068254</v>
      </c>
      <c r="L13" s="23">
        <f>4355820+1254171</f>
        <v>5609991</v>
      </c>
      <c r="M13" s="23">
        <f>4811619+1385410</f>
        <v>6197029</v>
      </c>
      <c r="N13" s="23">
        <f>4645184+1337487</f>
        <v>5982671</v>
      </c>
      <c r="O13" s="23">
        <f>SUM(C13:N13)</f>
        <v>80435780</v>
      </c>
      <c r="S13" s="4"/>
    </row>
    <row r="14" spans="1:19" ht="17.100000000000001" customHeight="1" x14ac:dyDescent="0.25">
      <c r="A14" s="22"/>
      <c r="B14" s="22" t="s">
        <v>34</v>
      </c>
      <c r="C14" s="23"/>
      <c r="D14" s="23">
        <f>169827+47932</f>
        <v>217759</v>
      </c>
      <c r="E14" s="23"/>
      <c r="F14" s="23"/>
      <c r="G14" s="23"/>
      <c r="H14" s="23"/>
      <c r="I14" s="23"/>
      <c r="J14" s="23"/>
      <c r="K14" s="23">
        <v>0</v>
      </c>
      <c r="L14" s="23">
        <f>398461+114729</f>
        <v>513190</v>
      </c>
      <c r="M14" s="23">
        <v>0</v>
      </c>
      <c r="N14" s="23">
        <f>263725+75934</f>
        <v>339659</v>
      </c>
      <c r="O14" s="23">
        <f t="shared" ref="O14:O25" si="0">SUM(C14:N14)</f>
        <v>1070608</v>
      </c>
      <c r="R14" s="3"/>
      <c r="S14" s="4"/>
    </row>
    <row r="15" spans="1:19" ht="17.100000000000001" customHeight="1" x14ac:dyDescent="0.25">
      <c r="A15" s="22"/>
      <c r="B15" s="22" t="s">
        <v>35</v>
      </c>
      <c r="C15" s="23">
        <f>396491+229063</f>
        <v>625554</v>
      </c>
      <c r="D15" s="23">
        <v>229063</v>
      </c>
      <c r="E15" s="23">
        <f>179132+49931</f>
        <v>229063</v>
      </c>
      <c r="F15" s="23">
        <f>1040676+290078</f>
        <v>1330754</v>
      </c>
      <c r="G15" s="23">
        <f>530374+147836</f>
        <v>678210</v>
      </c>
      <c r="H15" s="23">
        <f>179132+49931</f>
        <v>229063</v>
      </c>
      <c r="I15" s="23">
        <f>1227276+342091</f>
        <v>1569367</v>
      </c>
      <c r="J15" s="23">
        <f>81665+58666</f>
        <v>140331</v>
      </c>
      <c r="K15" s="23">
        <f>174771+50322</f>
        <v>225093</v>
      </c>
      <c r="L15" s="23">
        <f>830160+239028</f>
        <v>1069188</v>
      </c>
      <c r="M15" s="23">
        <f>174771+50322</f>
        <v>225093</v>
      </c>
      <c r="N15" s="23">
        <f>174771+50322</f>
        <v>225093</v>
      </c>
      <c r="O15" s="23">
        <f t="shared" si="0"/>
        <v>6775872</v>
      </c>
      <c r="Q15" s="5"/>
      <c r="S15" s="4"/>
    </row>
    <row r="16" spans="1:19" ht="17.100000000000001" customHeight="1" x14ac:dyDescent="0.25">
      <c r="A16" s="22"/>
      <c r="B16" s="22" t="s">
        <v>36</v>
      </c>
      <c r="C16" s="23"/>
      <c r="D16" s="23">
        <f>2809+793</f>
        <v>3602</v>
      </c>
      <c r="E16" s="23"/>
      <c r="F16" s="23"/>
      <c r="G16" s="23"/>
      <c r="H16" s="23"/>
      <c r="I16" s="23"/>
      <c r="J16" s="23"/>
      <c r="K16" s="23">
        <v>0</v>
      </c>
      <c r="L16" s="23">
        <f>177962+51240</f>
        <v>229202</v>
      </c>
      <c r="M16" s="23">
        <v>0</v>
      </c>
      <c r="N16" s="23">
        <f>88485+25477</f>
        <v>113962</v>
      </c>
      <c r="O16" s="23">
        <f t="shared" si="0"/>
        <v>346766</v>
      </c>
      <c r="S16" s="4"/>
    </row>
    <row r="17" spans="1:19" ht="17.100000000000001" customHeight="1" x14ac:dyDescent="0.25">
      <c r="A17" s="22"/>
      <c r="B17" s="22" t="s">
        <v>37</v>
      </c>
      <c r="C17" s="23">
        <v>1492703</v>
      </c>
      <c r="D17" s="23">
        <v>1885081</v>
      </c>
      <c r="E17" s="23">
        <v>1444247</v>
      </c>
      <c r="F17" s="23">
        <v>1950768</v>
      </c>
      <c r="G17" s="23">
        <v>1529744</v>
      </c>
      <c r="H17" s="23">
        <v>1838600</v>
      </c>
      <c r="I17" s="23">
        <v>1522565</v>
      </c>
      <c r="J17" s="23">
        <f>1599363-283912</f>
        <v>1315451</v>
      </c>
      <c r="K17" s="23">
        <v>1474100</v>
      </c>
      <c r="L17" s="23">
        <v>1415971</v>
      </c>
      <c r="M17" s="23">
        <v>1492617</v>
      </c>
      <c r="N17" s="23">
        <v>1468750</v>
      </c>
      <c r="O17" s="23">
        <f t="shared" si="0"/>
        <v>18830597</v>
      </c>
      <c r="Q17" s="1"/>
      <c r="S17" s="4"/>
    </row>
    <row r="18" spans="1:19" ht="17.100000000000001" customHeight="1" x14ac:dyDescent="0.25">
      <c r="A18" s="22"/>
      <c r="B18" s="22" t="s">
        <v>38</v>
      </c>
      <c r="C18" s="23"/>
      <c r="D18" s="23">
        <v>31959</v>
      </c>
      <c r="E18" s="23"/>
      <c r="F18" s="23"/>
      <c r="G18" s="23"/>
      <c r="H18" s="23"/>
      <c r="I18" s="23"/>
      <c r="J18" s="23"/>
      <c r="K18" s="23">
        <v>0</v>
      </c>
      <c r="L18" s="23">
        <v>76469</v>
      </c>
      <c r="M18" s="23">
        <v>0</v>
      </c>
      <c r="N18" s="23">
        <v>52978</v>
      </c>
      <c r="O18" s="23">
        <f t="shared" si="0"/>
        <v>161406</v>
      </c>
      <c r="S18" s="4"/>
    </row>
    <row r="19" spans="1:19" ht="17.100000000000001" customHeight="1" x14ac:dyDescent="0.25">
      <c r="A19" s="22"/>
      <c r="B19" s="22" t="s">
        <v>39</v>
      </c>
      <c r="C19" s="23">
        <v>23644</v>
      </c>
      <c r="D19" s="23">
        <v>23644</v>
      </c>
      <c r="E19" s="23">
        <f>18490+5154</f>
        <v>23644</v>
      </c>
      <c r="F19" s="23">
        <f>18490+5154</f>
        <v>23644</v>
      </c>
      <c r="G19" s="23">
        <f>18490+5154</f>
        <v>23644</v>
      </c>
      <c r="H19" s="23">
        <f>18490+5154</f>
        <v>23644</v>
      </c>
      <c r="I19" s="23">
        <f>18490+5154</f>
        <v>23644</v>
      </c>
      <c r="J19" s="23">
        <f>14888+5476</f>
        <v>20364</v>
      </c>
      <c r="K19" s="23">
        <f>18040+5194</f>
        <v>23234</v>
      </c>
      <c r="L19" s="23">
        <f>18040+5194</f>
        <v>23234</v>
      </c>
      <c r="M19" s="23">
        <f>18040+5194</f>
        <v>23234</v>
      </c>
      <c r="N19" s="23">
        <f>18040+5194</f>
        <v>23234</v>
      </c>
      <c r="O19" s="23">
        <f t="shared" si="0"/>
        <v>278808</v>
      </c>
      <c r="Q19" s="3"/>
      <c r="S19" s="4"/>
    </row>
    <row r="20" spans="1:19" ht="17.100000000000001" customHeight="1" x14ac:dyDescent="0.25">
      <c r="A20" s="22"/>
      <c r="B20" s="22" t="s">
        <v>40</v>
      </c>
      <c r="C20" s="23">
        <v>33075</v>
      </c>
      <c r="D20" s="23">
        <v>41150</v>
      </c>
      <c r="E20" s="23">
        <f>11433+3187</f>
        <v>14620</v>
      </c>
      <c r="F20" s="23">
        <f>14594+4068</f>
        <v>18662</v>
      </c>
      <c r="G20" s="23">
        <f>16517+4604</f>
        <v>21121</v>
      </c>
      <c r="H20" s="23">
        <v>18827</v>
      </c>
      <c r="I20" s="23">
        <f>20183+5626</f>
        <v>25809</v>
      </c>
      <c r="J20" s="23">
        <f>22765+6346</f>
        <v>29111</v>
      </c>
      <c r="K20" s="23">
        <f>18692+6835</f>
        <v>25527</v>
      </c>
      <c r="L20" s="23">
        <f>18633+5365</f>
        <v>23998</v>
      </c>
      <c r="M20" s="23">
        <f>25996+7485</f>
        <v>33481</v>
      </c>
      <c r="N20" s="23">
        <f>23236+6690</f>
        <v>29926</v>
      </c>
      <c r="O20" s="23">
        <f t="shared" si="0"/>
        <v>315307</v>
      </c>
      <c r="Q20" s="3"/>
      <c r="S20" s="4"/>
    </row>
    <row r="21" spans="1:19" ht="17.100000000000001" customHeight="1" x14ac:dyDescent="0.25">
      <c r="A21" s="22"/>
      <c r="B21" s="22" t="s">
        <v>41</v>
      </c>
      <c r="C21" s="23">
        <v>159947</v>
      </c>
      <c r="D21" s="23">
        <v>183283</v>
      </c>
      <c r="E21" s="23">
        <f>111679+31129</f>
        <v>142808</v>
      </c>
      <c r="F21" s="23">
        <f>193589+53961</f>
        <v>247550</v>
      </c>
      <c r="G21" s="23">
        <f>146204+40753</f>
        <v>186957</v>
      </c>
      <c r="H21" s="23">
        <f>126953+35387</f>
        <v>162340</v>
      </c>
      <c r="I21" s="23">
        <f>123975+34557</f>
        <v>158532</v>
      </c>
      <c r="J21" s="23">
        <f>129374+46173</f>
        <v>175547</v>
      </c>
      <c r="K21" s="23">
        <f>147396+42440</f>
        <v>189836</v>
      </c>
      <c r="L21" s="23">
        <f>128037+36866</f>
        <v>164903</v>
      </c>
      <c r="M21" s="23">
        <f>136512+39306</f>
        <v>175818</v>
      </c>
      <c r="N21" s="23">
        <f>117817+33923</f>
        <v>151740</v>
      </c>
      <c r="O21" s="23">
        <f t="shared" si="0"/>
        <v>2099261</v>
      </c>
      <c r="S21" s="4"/>
    </row>
    <row r="22" spans="1:19" ht="17.100000000000001" customHeight="1" x14ac:dyDescent="0.25">
      <c r="A22" s="22"/>
      <c r="B22" s="22" t="s">
        <v>42</v>
      </c>
      <c r="C22" s="23"/>
      <c r="D22" s="23"/>
      <c r="E22" s="23">
        <f>19+5</f>
        <v>24</v>
      </c>
      <c r="F22" s="23">
        <f>31+9</f>
        <v>40</v>
      </c>
      <c r="G22" s="23">
        <f>99+28</f>
        <v>127</v>
      </c>
      <c r="H22" s="23">
        <v>18</v>
      </c>
      <c r="I22" s="23">
        <f>8+2</f>
        <v>10</v>
      </c>
      <c r="J22" s="23">
        <f>27+9</f>
        <v>36</v>
      </c>
      <c r="K22" s="23">
        <v>39</v>
      </c>
      <c r="L22" s="23">
        <v>4</v>
      </c>
      <c r="M22" s="23">
        <f>57+16</f>
        <v>73</v>
      </c>
      <c r="N22" s="23">
        <f>417+120</f>
        <v>537</v>
      </c>
      <c r="O22" s="23">
        <f t="shared" si="0"/>
        <v>908</v>
      </c>
      <c r="S22" s="4"/>
    </row>
    <row r="23" spans="1:19" ht="17.100000000000001" customHeight="1" x14ac:dyDescent="0.25">
      <c r="A23" s="22"/>
      <c r="B23" s="22" t="s">
        <v>43</v>
      </c>
      <c r="C23" s="23">
        <f>156348+43581</f>
        <v>199929</v>
      </c>
      <c r="D23" s="23">
        <f>287646+80178</f>
        <v>367824</v>
      </c>
      <c r="E23" s="23">
        <f>116860+32574</f>
        <v>149434</v>
      </c>
      <c r="F23" s="23">
        <f>110578+30823</f>
        <v>141401</v>
      </c>
      <c r="G23" s="23">
        <f>122650+34187</f>
        <v>156837</v>
      </c>
      <c r="H23" s="23">
        <v>93043</v>
      </c>
      <c r="I23" s="23">
        <f>145718+40618</f>
        <v>186336</v>
      </c>
      <c r="J23" s="23">
        <f>149431+43025+2208-24645</f>
        <v>170019</v>
      </c>
      <c r="K23" s="23">
        <v>196686</v>
      </c>
      <c r="L23" s="23">
        <f>211613+60929</f>
        <v>272542</v>
      </c>
      <c r="M23" s="23">
        <f>162481+46783</f>
        <v>209264</v>
      </c>
      <c r="N23" s="23">
        <f>158753+45710</f>
        <v>204463</v>
      </c>
      <c r="O23" s="23">
        <f t="shared" si="0"/>
        <v>2347778</v>
      </c>
      <c r="Q23" s="3"/>
      <c r="S23" s="4"/>
    </row>
    <row r="24" spans="1:19" ht="17.100000000000001" customHeight="1" x14ac:dyDescent="0.25">
      <c r="A24" s="22"/>
      <c r="B24" s="22" t="s">
        <v>44</v>
      </c>
      <c r="C24" s="23">
        <v>45002</v>
      </c>
      <c r="D24" s="23">
        <v>5027338</v>
      </c>
      <c r="E24" s="23"/>
      <c r="F24" s="23">
        <v>1633297</v>
      </c>
      <c r="G24" s="23"/>
      <c r="H24" s="23">
        <v>915946</v>
      </c>
      <c r="I24" s="23">
        <v>249113</v>
      </c>
      <c r="J24" s="23">
        <v>3154453</v>
      </c>
      <c r="K24" s="23">
        <v>1053448</v>
      </c>
      <c r="L24" s="23">
        <v>0</v>
      </c>
      <c r="M24" s="23">
        <v>2287109</v>
      </c>
      <c r="N24" s="23">
        <f>1615588+26621</f>
        <v>1642209</v>
      </c>
      <c r="O24" s="23">
        <f t="shared" si="0"/>
        <v>16007915</v>
      </c>
      <c r="Q24" s="3"/>
      <c r="S24" s="4"/>
    </row>
    <row r="25" spans="1:19" ht="17.100000000000001" customHeight="1" x14ac:dyDescent="0.25">
      <c r="A25" s="22"/>
      <c r="B25" s="22" t="s">
        <v>45</v>
      </c>
      <c r="C25" s="23">
        <v>315592</v>
      </c>
      <c r="D25" s="23">
        <v>141793</v>
      </c>
      <c r="E25" s="23">
        <f>38804+10816</f>
        <v>49620</v>
      </c>
      <c r="F25" s="23">
        <f>57583+16051</f>
        <v>73634</v>
      </c>
      <c r="G25" s="23">
        <f>34712+9676</f>
        <v>44388</v>
      </c>
      <c r="H25" s="23">
        <f>57763+16101</f>
        <v>73864</v>
      </c>
      <c r="I25" s="23">
        <f>52468+14625</f>
        <v>67093</v>
      </c>
      <c r="J25" s="23">
        <f>28416+79578</f>
        <v>107994</v>
      </c>
      <c r="K25" s="23">
        <f>79195+22803</f>
        <v>101998</v>
      </c>
      <c r="L25" s="23">
        <f>79381+22856</f>
        <v>102237</v>
      </c>
      <c r="M25" s="23">
        <f>80629+23216</f>
        <v>103845</v>
      </c>
      <c r="N25" s="23">
        <f>95077+19710-26621</f>
        <v>88166</v>
      </c>
      <c r="O25" s="23">
        <f t="shared" si="0"/>
        <v>1270224</v>
      </c>
      <c r="Q25" s="5"/>
      <c r="S25" s="4"/>
    </row>
    <row r="26" spans="1:19" ht="17.100000000000001" customHeight="1" thickBot="1" x14ac:dyDescent="0.3">
      <c r="A26" s="22"/>
      <c r="B26" s="25" t="s">
        <v>46</v>
      </c>
      <c r="C26" s="26">
        <f t="shared" ref="C26:L26" si="1">SUM(C12:C25)</f>
        <v>8938382</v>
      </c>
      <c r="D26" s="26">
        <f t="shared" si="1"/>
        <v>16895460</v>
      </c>
      <c r="E26" s="26">
        <f t="shared" si="1"/>
        <v>7868563</v>
      </c>
      <c r="F26" s="26">
        <f t="shared" si="1"/>
        <v>14594036.000000002</v>
      </c>
      <c r="G26" s="26">
        <f t="shared" si="1"/>
        <v>9094954</v>
      </c>
      <c r="H26" s="26">
        <f t="shared" si="1"/>
        <v>12350635</v>
      </c>
      <c r="I26" s="26">
        <f t="shared" si="1"/>
        <v>10232964</v>
      </c>
      <c r="J26" s="26">
        <f t="shared" si="1"/>
        <v>11317060</v>
      </c>
      <c r="K26" s="26">
        <f t="shared" si="1"/>
        <v>9524070</v>
      </c>
      <c r="L26" s="26">
        <f t="shared" si="1"/>
        <v>9618302</v>
      </c>
      <c r="M26" s="26">
        <f>SUM(M12:M25)</f>
        <v>10898194</v>
      </c>
      <c r="N26" s="26">
        <f>SUM(N12:N25)</f>
        <v>10502781</v>
      </c>
      <c r="O26" s="26">
        <f>SUM(O12:O25)</f>
        <v>131835401</v>
      </c>
    </row>
    <row r="27" spans="1:19" ht="17.100000000000001" customHeight="1" x14ac:dyDescent="0.25">
      <c r="A27" s="22"/>
      <c r="B27" s="27"/>
      <c r="C27" s="28"/>
      <c r="D27" s="28"/>
      <c r="E27" s="28"/>
      <c r="F27" s="28"/>
      <c r="G27" s="28"/>
      <c r="H27" s="28"/>
      <c r="I27" s="28"/>
      <c r="J27" s="28"/>
      <c r="K27" s="29"/>
      <c r="L27" s="28"/>
      <c r="M27" s="28"/>
      <c r="N27" s="28"/>
      <c r="O27" s="28"/>
      <c r="Q27" s="5"/>
    </row>
    <row r="28" spans="1:19" ht="17.100000000000001" customHeight="1" x14ac:dyDescent="0.25">
      <c r="A28" s="22"/>
      <c r="B28" s="27"/>
      <c r="C28" s="28"/>
      <c r="D28" s="28"/>
      <c r="E28" s="28"/>
      <c r="F28" s="28"/>
      <c r="G28" s="28"/>
      <c r="H28" s="28"/>
      <c r="I28" s="28"/>
      <c r="J28" s="28"/>
      <c r="K28" s="29"/>
      <c r="L28" s="28"/>
      <c r="M28" s="28"/>
      <c r="N28" s="28"/>
      <c r="O28" s="28"/>
    </row>
    <row r="29" spans="1:19" ht="17.100000000000001" customHeight="1" x14ac:dyDescent="0.25">
      <c r="A29" s="22"/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1:19" ht="17.100000000000001" customHeight="1" x14ac:dyDescent="0.25">
      <c r="A30" s="22"/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30"/>
    </row>
    <row r="31" spans="1:19" ht="17.100000000000001" customHeight="1" x14ac:dyDescent="0.25">
      <c r="A31" s="22"/>
      <c r="B31" s="22" t="s">
        <v>47</v>
      </c>
      <c r="C31" s="23">
        <v>2109795</v>
      </c>
      <c r="D31" s="23">
        <v>2109795</v>
      </c>
      <c r="E31" s="23">
        <v>2109795</v>
      </c>
      <c r="F31" s="23">
        <v>2109795</v>
      </c>
      <c r="G31" s="23">
        <v>2109795</v>
      </c>
      <c r="H31" s="23">
        <v>2109795</v>
      </c>
      <c r="I31" s="23">
        <v>2109795</v>
      </c>
      <c r="J31" s="23">
        <v>2109795</v>
      </c>
      <c r="K31" s="23">
        <v>2109795</v>
      </c>
      <c r="L31" s="23">
        <v>2109795</v>
      </c>
      <c r="M31" s="23">
        <v>0</v>
      </c>
      <c r="N31" s="23">
        <v>0</v>
      </c>
      <c r="O31" s="23">
        <f>SUM(C31:N31)</f>
        <v>21097950</v>
      </c>
    </row>
    <row r="32" spans="1:19" ht="17.100000000000001" customHeight="1" x14ac:dyDescent="0.25">
      <c r="A32" s="22"/>
      <c r="B32" s="22" t="s">
        <v>48</v>
      </c>
      <c r="C32" s="23">
        <v>3890311</v>
      </c>
      <c r="D32" s="23">
        <v>3890311</v>
      </c>
      <c r="E32" s="23">
        <v>3890311</v>
      </c>
      <c r="F32" s="23">
        <v>3890311</v>
      </c>
      <c r="G32" s="23">
        <v>3890311</v>
      </c>
      <c r="H32" s="23">
        <v>3890311</v>
      </c>
      <c r="I32" s="23">
        <v>3890311</v>
      </c>
      <c r="J32" s="23">
        <v>3890311</v>
      </c>
      <c r="K32" s="23">
        <v>3890311</v>
      </c>
      <c r="L32" s="23">
        <v>3890311</v>
      </c>
      <c r="M32" s="23">
        <v>3890311</v>
      </c>
      <c r="N32" s="23">
        <v>3890315</v>
      </c>
      <c r="O32" s="23">
        <f>SUM(C32:N32)</f>
        <v>46683736</v>
      </c>
    </row>
    <row r="33" spans="1:15" ht="17.100000000000001" customHeight="1" thickBot="1" x14ac:dyDescent="0.3">
      <c r="A33" s="22"/>
      <c r="B33" s="25" t="s">
        <v>49</v>
      </c>
      <c r="C33" s="26">
        <f>SUM(C31:C32)</f>
        <v>6000106</v>
      </c>
      <c r="D33" s="26">
        <f t="shared" ref="D33:N33" si="2">SUM(D31:D32)</f>
        <v>6000106</v>
      </c>
      <c r="E33" s="26">
        <f t="shared" si="2"/>
        <v>6000106</v>
      </c>
      <c r="F33" s="26">
        <f t="shared" si="2"/>
        <v>6000106</v>
      </c>
      <c r="G33" s="26">
        <f t="shared" si="2"/>
        <v>6000106</v>
      </c>
      <c r="H33" s="26">
        <f t="shared" si="2"/>
        <v>6000106</v>
      </c>
      <c r="I33" s="26">
        <f t="shared" si="2"/>
        <v>6000106</v>
      </c>
      <c r="J33" s="26">
        <f t="shared" si="2"/>
        <v>6000106</v>
      </c>
      <c r="K33" s="26">
        <f t="shared" si="2"/>
        <v>6000106</v>
      </c>
      <c r="L33" s="26">
        <f t="shared" si="2"/>
        <v>6000106</v>
      </c>
      <c r="M33" s="26">
        <f t="shared" si="2"/>
        <v>3890311</v>
      </c>
      <c r="N33" s="26">
        <f t="shared" si="2"/>
        <v>3890315</v>
      </c>
      <c r="O33" s="26">
        <f>SUM(O31:O32)</f>
        <v>67781686</v>
      </c>
    </row>
    <row r="34" spans="1:15" ht="17.100000000000001" customHeight="1" x14ac:dyDescent="0.25">
      <c r="A34" s="22"/>
      <c r="B34" s="25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5" ht="17.100000000000001" customHeight="1" x14ac:dyDescent="0.25">
      <c r="A35" s="22"/>
      <c r="B35" s="25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1:15" ht="17.100000000000001" customHeight="1" x14ac:dyDescent="0.25">
      <c r="A36" s="22"/>
      <c r="B36" s="25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5" ht="17.100000000000001" customHeight="1" x14ac:dyDescent="0.25">
      <c r="A37" s="22"/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30"/>
    </row>
    <row r="38" spans="1:15" ht="17.100000000000001" customHeight="1" thickBot="1" x14ac:dyDescent="0.3">
      <c r="A38" s="25"/>
      <c r="B38" s="25" t="s">
        <v>50</v>
      </c>
      <c r="C38" s="26">
        <f t="shared" ref="C38:N38" si="3">+C26+C33</f>
        <v>14938488</v>
      </c>
      <c r="D38" s="26">
        <f t="shared" si="3"/>
        <v>22895566</v>
      </c>
      <c r="E38" s="26">
        <f t="shared" si="3"/>
        <v>13868669</v>
      </c>
      <c r="F38" s="26">
        <f t="shared" si="3"/>
        <v>20594142</v>
      </c>
      <c r="G38" s="26">
        <f t="shared" si="3"/>
        <v>15095060</v>
      </c>
      <c r="H38" s="26">
        <f t="shared" si="3"/>
        <v>18350741</v>
      </c>
      <c r="I38" s="26">
        <f t="shared" si="3"/>
        <v>16233070</v>
      </c>
      <c r="J38" s="26">
        <f t="shared" si="3"/>
        <v>17317166</v>
      </c>
      <c r="K38" s="26">
        <f t="shared" si="3"/>
        <v>15524176</v>
      </c>
      <c r="L38" s="26">
        <f t="shared" si="3"/>
        <v>15618408</v>
      </c>
      <c r="M38" s="26">
        <f t="shared" si="3"/>
        <v>14788505</v>
      </c>
      <c r="N38" s="26">
        <f t="shared" si="3"/>
        <v>14393096</v>
      </c>
      <c r="O38" s="26">
        <f>+O26+O33</f>
        <v>199617087</v>
      </c>
    </row>
    <row r="39" spans="1:15" ht="17.100000000000001" customHeight="1" x14ac:dyDescent="0.25">
      <c r="A39" s="22"/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7.100000000000001" customHeight="1" x14ac:dyDescent="0.25">
      <c r="A40" s="22"/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7.100000000000001" customHeight="1" x14ac:dyDescent="0.25">
      <c r="A41" s="22"/>
      <c r="B41" s="31" t="s">
        <v>62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1:15" ht="17.100000000000001" customHeight="1" x14ac:dyDescent="0.25">
      <c r="A42" s="2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1:15" ht="5.25" customHeight="1" x14ac:dyDescent="0.25">
      <c r="A43" s="2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ht="17.100000000000001" customHeight="1" x14ac:dyDescent="0.25">
      <c r="A44" s="22"/>
      <c r="B44" s="33" t="s">
        <v>51</v>
      </c>
      <c r="C44" s="34"/>
      <c r="D44" s="35"/>
      <c r="E44" s="34"/>
      <c r="F44" s="34"/>
      <c r="G44" s="34"/>
      <c r="H44" s="23"/>
      <c r="I44" s="23"/>
      <c r="J44" s="23"/>
      <c r="K44" s="23"/>
      <c r="L44" s="23"/>
      <c r="M44" s="33" t="s">
        <v>52</v>
      </c>
      <c r="N44" s="23"/>
      <c r="O44" s="23"/>
    </row>
    <row r="45" spans="1:15" ht="17.100000000000001" customHeight="1" x14ac:dyDescent="0.25">
      <c r="A45" s="22"/>
      <c r="B45" s="33"/>
      <c r="C45" s="34"/>
      <c r="D45" s="34"/>
      <c r="E45" s="34"/>
      <c r="F45" s="34"/>
      <c r="G45" s="34"/>
      <c r="H45" s="23"/>
      <c r="I45" s="23"/>
      <c r="J45" s="23"/>
      <c r="K45" s="23"/>
      <c r="L45" s="23"/>
      <c r="M45" s="33"/>
      <c r="N45" s="23"/>
      <c r="O45" s="23"/>
    </row>
    <row r="46" spans="1:15" ht="17.100000000000001" customHeight="1" x14ac:dyDescent="0.25">
      <c r="A46" s="22"/>
      <c r="B46" s="33" t="s">
        <v>53</v>
      </c>
      <c r="C46" s="34"/>
      <c r="D46" s="36"/>
      <c r="E46" s="34"/>
      <c r="F46" s="23"/>
      <c r="G46" s="23"/>
      <c r="H46" s="23"/>
      <c r="I46" s="23"/>
      <c r="J46" s="23"/>
      <c r="K46" s="23"/>
      <c r="L46" s="23"/>
      <c r="M46" s="33" t="s">
        <v>54</v>
      </c>
      <c r="N46" s="23"/>
      <c r="O46" s="23"/>
    </row>
    <row r="47" spans="1:15" ht="17.100000000000001" customHeight="1" x14ac:dyDescent="0.25">
      <c r="A47" s="22"/>
      <c r="B47" s="37" t="s">
        <v>55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37" t="s">
        <v>56</v>
      </c>
      <c r="N47" s="23"/>
      <c r="O47" s="23"/>
    </row>
    <row r="51" spans="6:19" ht="17.100000000000001" customHeight="1" x14ac:dyDescent="0.25">
      <c r="F51" s="6"/>
      <c r="G51" s="6"/>
      <c r="J51" s="7"/>
      <c r="K51" s="7"/>
      <c r="L51" s="7"/>
      <c r="M51" s="7"/>
      <c r="N51" s="7"/>
      <c r="O51" s="8"/>
      <c r="P51" s="9"/>
      <c r="Q51" s="10"/>
      <c r="R51" s="10"/>
      <c r="S51" s="10"/>
    </row>
    <row r="52" spans="6:19" ht="17.100000000000001" customHeight="1" x14ac:dyDescent="0.25">
      <c r="J52" s="7"/>
      <c r="K52" s="7"/>
      <c r="L52" s="7"/>
      <c r="M52" s="7"/>
      <c r="N52" s="7"/>
      <c r="O52" s="8"/>
      <c r="P52" s="9"/>
      <c r="Q52" s="10"/>
      <c r="R52" s="10"/>
      <c r="S52" s="10"/>
    </row>
    <row r="53" spans="6:19" ht="17.100000000000001" customHeight="1" x14ac:dyDescent="0.25">
      <c r="J53" s="7"/>
      <c r="K53" s="7"/>
      <c r="L53" s="7"/>
      <c r="M53" s="7"/>
      <c r="N53" s="7"/>
      <c r="O53" s="7"/>
      <c r="P53" s="9"/>
      <c r="Q53" s="10"/>
      <c r="R53" s="10"/>
      <c r="S53" s="10"/>
    </row>
    <row r="54" spans="6:19" ht="17.100000000000001" customHeight="1" x14ac:dyDescent="0.25">
      <c r="J54" s="7"/>
      <c r="K54" s="7"/>
      <c r="L54" s="7"/>
      <c r="M54" s="7"/>
      <c r="N54" s="7"/>
      <c r="O54" s="8"/>
      <c r="P54" s="9"/>
      <c r="Q54" s="10"/>
      <c r="R54" s="10"/>
      <c r="S54" s="10"/>
    </row>
    <row r="55" spans="6:19" ht="17.100000000000001" customHeight="1" x14ac:dyDescent="0.25">
      <c r="J55" s="7"/>
      <c r="K55" s="7"/>
      <c r="L55" s="7"/>
      <c r="M55" s="7"/>
      <c r="N55" s="7"/>
      <c r="O55" s="8"/>
      <c r="P55" s="9"/>
      <c r="Q55" s="10"/>
      <c r="R55" s="10"/>
      <c r="S55" s="10"/>
    </row>
    <row r="56" spans="6:19" ht="17.100000000000001" customHeight="1" x14ac:dyDescent="0.25">
      <c r="J56" s="7"/>
      <c r="K56" s="7"/>
      <c r="L56" s="7"/>
      <c r="M56" s="7"/>
      <c r="N56" s="7"/>
      <c r="O56" s="8"/>
      <c r="P56" s="9"/>
      <c r="Q56" s="10"/>
      <c r="R56" s="10"/>
      <c r="S56" s="10"/>
    </row>
    <row r="57" spans="6:19" ht="17.100000000000001" customHeight="1" x14ac:dyDescent="0.25">
      <c r="J57" s="7"/>
      <c r="K57" s="7"/>
      <c r="L57" s="7"/>
      <c r="M57" s="7"/>
      <c r="N57" s="7"/>
      <c r="O57" s="8"/>
      <c r="P57" s="9"/>
      <c r="Q57" s="10"/>
      <c r="R57" s="10"/>
      <c r="S57" s="10"/>
    </row>
    <row r="58" spans="6:19" ht="17.100000000000001" customHeight="1" x14ac:dyDescent="0.25">
      <c r="J58" s="7"/>
      <c r="K58" s="7"/>
      <c r="L58" s="7"/>
      <c r="M58" s="7"/>
      <c r="N58" s="7"/>
      <c r="O58" s="9"/>
      <c r="P58" s="9"/>
      <c r="Q58" s="10"/>
      <c r="R58" s="10"/>
      <c r="S58" s="10"/>
    </row>
    <row r="59" spans="6:19" ht="17.100000000000001" customHeight="1" x14ac:dyDescent="0.25">
      <c r="J59" s="7"/>
      <c r="K59" s="7"/>
      <c r="L59" s="7"/>
      <c r="M59" s="7"/>
      <c r="N59" s="7"/>
      <c r="O59" s="8"/>
      <c r="P59" s="9"/>
      <c r="Q59" s="10"/>
      <c r="R59" s="10"/>
      <c r="S59" s="10"/>
    </row>
    <row r="60" spans="6:19" ht="17.100000000000001" customHeight="1" x14ac:dyDescent="0.25">
      <c r="J60" s="7"/>
      <c r="K60" s="7"/>
      <c r="L60" s="7"/>
      <c r="M60" s="7"/>
      <c r="N60" s="7"/>
      <c r="O60" s="8"/>
      <c r="P60" s="9"/>
      <c r="Q60" s="9"/>
      <c r="R60" s="10"/>
      <c r="S60" s="10"/>
    </row>
    <row r="61" spans="6:19" ht="17.100000000000001" customHeight="1" x14ac:dyDescent="0.25">
      <c r="J61" s="7"/>
      <c r="K61" s="7"/>
      <c r="L61" s="7"/>
      <c r="M61" s="7"/>
      <c r="N61" s="7"/>
      <c r="O61" s="7"/>
      <c r="P61" s="9"/>
      <c r="Q61" s="10"/>
      <c r="R61" s="10"/>
      <c r="S61" s="10"/>
    </row>
    <row r="62" spans="6:19" ht="17.100000000000001" customHeight="1" x14ac:dyDescent="0.25">
      <c r="J62" s="7"/>
      <c r="K62" s="7"/>
      <c r="L62" s="7"/>
      <c r="M62" s="7"/>
      <c r="N62" s="7"/>
      <c r="O62" s="7"/>
      <c r="P62" s="9"/>
      <c r="Q62" s="10"/>
      <c r="R62" s="10"/>
      <c r="S62" s="10"/>
    </row>
    <row r="63" spans="6:19" ht="17.100000000000001" customHeight="1" x14ac:dyDescent="0.25">
      <c r="J63" s="7"/>
      <c r="K63" s="7"/>
      <c r="L63" s="7"/>
      <c r="M63" s="7"/>
      <c r="N63" s="7"/>
      <c r="O63" s="7"/>
      <c r="P63" s="9"/>
      <c r="Q63" s="10"/>
      <c r="R63" s="10"/>
      <c r="S63" s="10"/>
    </row>
    <row r="64" spans="6:19" ht="17.100000000000001" customHeight="1" x14ac:dyDescent="0.25">
      <c r="H64" s="3" t="s">
        <v>57</v>
      </c>
      <c r="J64" s="7"/>
      <c r="K64" s="7"/>
      <c r="L64" s="7"/>
      <c r="M64" s="7"/>
      <c r="N64" s="7"/>
      <c r="O64" s="7"/>
      <c r="P64" s="9"/>
      <c r="Q64" s="10"/>
      <c r="R64" s="10"/>
      <c r="S64" s="10"/>
    </row>
    <row r="65" spans="7:19" ht="17.100000000000001" customHeight="1" x14ac:dyDescent="0.25">
      <c r="H65" s="3" t="s">
        <v>58</v>
      </c>
      <c r="J65" s="7"/>
      <c r="K65" s="7"/>
      <c r="L65" s="7"/>
      <c r="M65" s="7"/>
      <c r="N65" s="7"/>
      <c r="O65" s="7"/>
      <c r="P65" s="9"/>
      <c r="Q65" s="10"/>
      <c r="R65" s="10"/>
      <c r="S65" s="10"/>
    </row>
    <row r="66" spans="7:19" ht="17.100000000000001" customHeight="1" x14ac:dyDescent="0.25">
      <c r="J66" s="7"/>
      <c r="K66" s="7"/>
      <c r="L66" s="7"/>
      <c r="M66" s="7"/>
      <c r="N66" s="7"/>
      <c r="O66" s="7"/>
      <c r="P66" s="9"/>
      <c r="Q66" s="10"/>
      <c r="R66" s="10"/>
      <c r="S66" s="10"/>
    </row>
    <row r="67" spans="7:19" ht="17.100000000000001" customHeight="1" x14ac:dyDescent="0.25">
      <c r="G67" s="3">
        <v>2502</v>
      </c>
      <c r="H67" s="3" t="s">
        <v>59</v>
      </c>
      <c r="J67" s="7"/>
      <c r="K67" s="7"/>
      <c r="L67" s="7"/>
      <c r="M67" s="7"/>
      <c r="N67" s="7"/>
      <c r="O67" s="7"/>
      <c r="P67" s="9"/>
      <c r="Q67" s="10"/>
      <c r="R67" s="10"/>
      <c r="S67" s="10"/>
    </row>
    <row r="68" spans="7:19" ht="17.100000000000001" customHeight="1" x14ac:dyDescent="0.25">
      <c r="J68" s="7"/>
      <c r="K68" s="7"/>
      <c r="L68" s="7"/>
      <c r="M68" s="7"/>
      <c r="N68" s="7"/>
      <c r="O68" s="7"/>
      <c r="P68" s="9"/>
      <c r="Q68" s="10"/>
      <c r="R68" s="10"/>
      <c r="S68" s="10"/>
    </row>
    <row r="69" spans="7:19" ht="17.100000000000001" customHeight="1" x14ac:dyDescent="0.25">
      <c r="J69" s="7"/>
      <c r="K69" s="7"/>
      <c r="L69" s="7"/>
      <c r="M69" s="7"/>
      <c r="N69" s="7"/>
      <c r="O69" s="7"/>
      <c r="P69" s="9"/>
      <c r="Q69" s="10"/>
      <c r="R69" s="10"/>
      <c r="S69" s="10"/>
    </row>
    <row r="70" spans="7:19" ht="17.100000000000001" customHeight="1" x14ac:dyDescent="0.25">
      <c r="H70" s="3" t="s">
        <v>60</v>
      </c>
      <c r="J70" s="7"/>
      <c r="K70" s="7"/>
      <c r="L70" s="7"/>
      <c r="M70" s="7"/>
      <c r="N70" s="7"/>
      <c r="O70" s="7"/>
      <c r="P70" s="9"/>
      <c r="Q70" s="10"/>
      <c r="R70" s="10"/>
      <c r="S70" s="10"/>
    </row>
    <row r="71" spans="7:19" ht="17.100000000000001" customHeight="1" x14ac:dyDescent="0.25">
      <c r="H71" s="3" t="s">
        <v>61</v>
      </c>
      <c r="J71" s="7"/>
      <c r="K71" s="7"/>
      <c r="L71" s="7"/>
      <c r="M71" s="7"/>
      <c r="N71" s="7"/>
      <c r="O71" s="7"/>
      <c r="P71" s="9"/>
      <c r="Q71" s="10"/>
      <c r="R71" s="10"/>
      <c r="S71" s="10"/>
    </row>
    <row r="72" spans="7:19" ht="17.100000000000001" customHeight="1" x14ac:dyDescent="0.25">
      <c r="J72" s="7"/>
      <c r="K72" s="7"/>
      <c r="L72" s="7"/>
      <c r="M72" s="7"/>
      <c r="N72" s="7"/>
      <c r="O72" s="7"/>
      <c r="P72" s="9"/>
      <c r="Q72" s="10"/>
      <c r="R72" s="10"/>
      <c r="S72" s="10"/>
    </row>
    <row r="73" spans="7:19" ht="17.100000000000001" customHeight="1" x14ac:dyDescent="0.25">
      <c r="J73" s="7"/>
      <c r="K73" s="7"/>
      <c r="L73" s="7"/>
      <c r="M73" s="7"/>
      <c r="N73" s="7"/>
      <c r="O73" s="7"/>
      <c r="P73" s="9"/>
      <c r="Q73" s="10"/>
      <c r="R73" s="10"/>
      <c r="S73" s="10"/>
    </row>
    <row r="74" spans="7:19" ht="17.100000000000001" customHeight="1" x14ac:dyDescent="0.25">
      <c r="J74" s="7"/>
      <c r="K74" s="7"/>
      <c r="L74" s="7"/>
      <c r="M74" s="7"/>
      <c r="N74" s="7"/>
      <c r="O74" s="7"/>
      <c r="P74" s="9"/>
      <c r="Q74" s="10"/>
      <c r="R74" s="10"/>
      <c r="S74" s="10"/>
    </row>
    <row r="75" spans="7:19" ht="17.100000000000001" customHeight="1" x14ac:dyDescent="0.25">
      <c r="J75" s="7"/>
      <c r="K75" s="7"/>
      <c r="L75" s="7"/>
      <c r="M75" s="7"/>
      <c r="N75" s="7"/>
      <c r="O75" s="7"/>
      <c r="P75" s="9"/>
      <c r="Q75" s="10"/>
      <c r="R75" s="10"/>
      <c r="S75" s="10"/>
    </row>
    <row r="76" spans="7:19" ht="17.100000000000001" customHeight="1" x14ac:dyDescent="0.25">
      <c r="J76" s="7"/>
      <c r="K76" s="7"/>
      <c r="L76" s="7"/>
      <c r="M76" s="7"/>
      <c r="N76" s="7"/>
      <c r="O76" s="7"/>
      <c r="P76" s="9"/>
      <c r="Q76" s="10"/>
      <c r="R76" s="10"/>
      <c r="S76" s="10"/>
    </row>
    <row r="77" spans="7:19" ht="17.100000000000001" customHeight="1" x14ac:dyDescent="0.25">
      <c r="J77" s="7"/>
      <c r="K77" s="7"/>
      <c r="L77" s="7"/>
      <c r="M77" s="7"/>
      <c r="N77" s="7"/>
      <c r="O77" s="7"/>
      <c r="P77" s="9"/>
      <c r="Q77" s="10"/>
      <c r="R77" s="10"/>
      <c r="S77" s="10"/>
    </row>
    <row r="78" spans="7:19" ht="17.100000000000001" customHeight="1" x14ac:dyDescent="0.25">
      <c r="J78" s="7"/>
      <c r="K78" s="7"/>
      <c r="L78" s="7"/>
      <c r="M78" s="7"/>
      <c r="N78" s="7"/>
      <c r="O78" s="7"/>
      <c r="P78" s="9"/>
      <c r="Q78" s="10"/>
      <c r="R78" s="10"/>
      <c r="S78" s="10"/>
    </row>
    <row r="79" spans="7:19" ht="17.100000000000001" customHeight="1" x14ac:dyDescent="0.25">
      <c r="J79" s="7"/>
      <c r="K79" s="7"/>
      <c r="L79" s="7"/>
      <c r="M79" s="7"/>
      <c r="N79" s="7"/>
      <c r="O79" s="7"/>
      <c r="P79" s="9"/>
      <c r="Q79" s="10"/>
      <c r="R79" s="10"/>
      <c r="S79" s="10"/>
    </row>
    <row r="80" spans="7:19" ht="17.100000000000001" customHeight="1" x14ac:dyDescent="0.25">
      <c r="J80" s="7"/>
      <c r="K80" s="7"/>
      <c r="L80" s="7"/>
      <c r="M80" s="7"/>
      <c r="N80" s="7"/>
      <c r="O80" s="7"/>
      <c r="P80" s="9"/>
      <c r="Q80" s="10"/>
      <c r="R80" s="10"/>
      <c r="S80" s="10"/>
    </row>
    <row r="81" spans="10:19" ht="17.100000000000001" customHeight="1" x14ac:dyDescent="0.25">
      <c r="J81" s="7"/>
      <c r="K81" s="7"/>
      <c r="L81" s="7"/>
      <c r="M81" s="7"/>
      <c r="N81" s="7"/>
      <c r="O81" s="7"/>
      <c r="P81" s="9"/>
      <c r="Q81" s="10"/>
      <c r="R81" s="10"/>
      <c r="S81" s="10"/>
    </row>
    <row r="82" spans="10:19" ht="17.100000000000001" customHeight="1" x14ac:dyDescent="0.25">
      <c r="J82" s="7"/>
      <c r="K82" s="7"/>
      <c r="L82" s="7"/>
      <c r="M82" s="7"/>
      <c r="N82" s="7"/>
      <c r="O82" s="7"/>
      <c r="P82" s="9"/>
      <c r="Q82" s="10"/>
      <c r="R82" s="10"/>
      <c r="S82" s="10"/>
    </row>
    <row r="83" spans="10:19" ht="17.100000000000001" customHeight="1" x14ac:dyDescent="0.25">
      <c r="J83" s="7"/>
      <c r="K83" s="7"/>
      <c r="L83" s="7"/>
      <c r="M83" s="7"/>
      <c r="N83" s="7"/>
      <c r="O83" s="7"/>
      <c r="P83" s="9"/>
      <c r="Q83" s="10"/>
      <c r="R83" s="10"/>
      <c r="S83" s="10"/>
    </row>
    <row r="84" spans="10:19" ht="17.100000000000001" customHeight="1" x14ac:dyDescent="0.25">
      <c r="J84" s="7"/>
      <c r="K84" s="7"/>
      <c r="L84" s="7"/>
      <c r="M84" s="7"/>
      <c r="N84" s="7"/>
      <c r="O84" s="7"/>
      <c r="P84" s="9"/>
      <c r="Q84" s="10"/>
      <c r="R84" s="10"/>
      <c r="S84" s="10"/>
    </row>
    <row r="85" spans="10:19" ht="17.100000000000001" customHeight="1" x14ac:dyDescent="0.25">
      <c r="J85" s="7"/>
      <c r="K85" s="7"/>
      <c r="L85" s="7"/>
      <c r="M85" s="7"/>
      <c r="N85" s="7"/>
      <c r="O85" s="7"/>
      <c r="P85" s="9"/>
      <c r="Q85" s="10"/>
      <c r="R85" s="10"/>
      <c r="S85" s="10"/>
    </row>
    <row r="86" spans="10:19" ht="17.100000000000001" customHeight="1" x14ac:dyDescent="0.25">
      <c r="J86" s="7"/>
      <c r="K86" s="7"/>
      <c r="L86" s="7"/>
      <c r="M86" s="7"/>
      <c r="N86" s="7"/>
      <c r="O86" s="7"/>
      <c r="P86" s="9"/>
      <c r="Q86" s="10"/>
      <c r="R86" s="10"/>
      <c r="S86" s="10"/>
    </row>
    <row r="87" spans="10:19" ht="17.100000000000001" customHeight="1" x14ac:dyDescent="0.25">
      <c r="J87" s="7"/>
      <c r="K87" s="7"/>
      <c r="L87" s="7"/>
      <c r="M87" s="7"/>
      <c r="N87" s="7"/>
      <c r="O87" s="7"/>
      <c r="P87" s="9"/>
      <c r="Q87" s="10"/>
      <c r="R87" s="10"/>
      <c r="S87" s="10"/>
    </row>
    <row r="88" spans="10:19" ht="17.100000000000001" customHeight="1" x14ac:dyDescent="0.25">
      <c r="J88" s="7"/>
      <c r="K88" s="7"/>
      <c r="L88" s="7"/>
      <c r="M88" s="7"/>
      <c r="N88" s="7"/>
      <c r="O88" s="7"/>
      <c r="P88" s="9"/>
      <c r="Q88" s="10"/>
      <c r="R88" s="10"/>
      <c r="S88" s="10"/>
    </row>
    <row r="89" spans="10:19" ht="17.100000000000001" customHeight="1" x14ac:dyDescent="0.25">
      <c r="J89" s="7"/>
      <c r="K89" s="7"/>
      <c r="L89" s="7"/>
      <c r="M89" s="7"/>
      <c r="N89" s="7"/>
      <c r="O89" s="7"/>
      <c r="P89" s="9"/>
      <c r="Q89" s="10"/>
      <c r="R89" s="10"/>
      <c r="S89" s="10"/>
    </row>
  </sheetData>
  <mergeCells count="18">
    <mergeCell ref="B41:O42"/>
    <mergeCell ref="I6:I7"/>
    <mergeCell ref="J6:J7"/>
    <mergeCell ref="K6:K7"/>
    <mergeCell ref="L6:L7"/>
    <mergeCell ref="M6:M7"/>
    <mergeCell ref="N6:N7"/>
    <mergeCell ref="A1:O1"/>
    <mergeCell ref="A4:O4"/>
    <mergeCell ref="A6:A8"/>
    <mergeCell ref="B6:B7"/>
    <mergeCell ref="C6:C7"/>
    <mergeCell ref="D6:D7"/>
    <mergeCell ref="E6:E7"/>
    <mergeCell ref="F6:F7"/>
    <mergeCell ref="G6:G7"/>
    <mergeCell ref="H6:H7"/>
    <mergeCell ref="O6:O8"/>
  </mergeCells>
  <pageMargins left="0.11811023622047245" right="0.11811023622047245" top="0.35433070866141736" bottom="0.15748031496062992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Tesoreria07</dc:creator>
  <cp:lastModifiedBy>Tesoreria05</cp:lastModifiedBy>
  <cp:lastPrinted>2022-01-25T16:40:30Z</cp:lastPrinted>
  <dcterms:created xsi:type="dcterms:W3CDTF">2022-01-18T18:08:36Z</dcterms:created>
  <dcterms:modified xsi:type="dcterms:W3CDTF">2022-02-24T00:35:21Z</dcterms:modified>
</cp:coreProperties>
</file>